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1gcople\Downloads\BI\"/>
    </mc:Choice>
  </mc:AlternateContent>
  <bookViews>
    <workbookView xWindow="0" yWindow="0" windowWidth="28800" windowHeight="12000"/>
  </bookViews>
  <sheets>
    <sheet name="BI Team estimates" sheetId="7" r:id="rId1"/>
    <sheet name="BI Income &amp; Expenses" sheetId="1" r:id="rId2"/>
  </sheets>
  <definedNames>
    <definedName name="_xlnm.Print_Area" localSheetId="0">'BI Team estimates'!$A$1:$S$46</definedName>
    <definedName name="Team" localSheetId="0">#REF!</definedName>
    <definedName name="Tea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7" l="1"/>
  <c r="O10" i="7"/>
  <c r="Q24" i="7" l="1"/>
  <c r="O15" i="7" l="1"/>
  <c r="O14" i="7"/>
  <c r="O11" i="7"/>
  <c r="O12" i="7"/>
  <c r="O13" i="7"/>
  <c r="O16" i="7"/>
  <c r="O17" i="7"/>
  <c r="O19" i="7"/>
  <c r="O8" i="7"/>
  <c r="M8" i="7" l="1"/>
  <c r="M9" i="7"/>
  <c r="M10" i="7"/>
  <c r="M12" i="7"/>
  <c r="M14" i="7"/>
  <c r="M15" i="7"/>
  <c r="M16" i="7"/>
  <c r="M17" i="7"/>
  <c r="M18" i="7"/>
  <c r="M19" i="7"/>
  <c r="M7" i="7"/>
  <c r="N40" i="7"/>
  <c r="M40" i="7"/>
  <c r="L40" i="7"/>
  <c r="L45" i="7" s="1"/>
  <c r="B20" i="7"/>
  <c r="K19" i="7"/>
  <c r="K18" i="7"/>
  <c r="K17" i="7"/>
  <c r="K16" i="7"/>
  <c r="K15" i="7"/>
  <c r="K14" i="7"/>
  <c r="K13" i="7"/>
  <c r="K12" i="7"/>
  <c r="N12" i="7" s="1"/>
  <c r="K11" i="7"/>
  <c r="K10" i="7"/>
  <c r="N10" i="7" s="1"/>
  <c r="K9" i="7"/>
  <c r="K8" i="7"/>
  <c r="N8" i="7" s="1"/>
  <c r="K7" i="7"/>
  <c r="N7" i="7" s="1"/>
  <c r="N17" i="7" l="1"/>
  <c r="N16" i="7"/>
  <c r="N13" i="7"/>
  <c r="N14" i="7"/>
  <c r="N18" i="7"/>
  <c r="N9" i="7"/>
  <c r="N11" i="7"/>
  <c r="N15" i="7"/>
  <c r="N19" i="7"/>
  <c r="K20" i="7"/>
  <c r="K25" i="7" s="1"/>
  <c r="K27" i="7" s="1"/>
  <c r="O20" i="7" l="1"/>
  <c r="O25" i="7" s="1"/>
  <c r="O27" i="7" s="1"/>
  <c r="F30" i="1" l="1"/>
  <c r="F10" i="1" l="1"/>
  <c r="F25" i="1"/>
  <c r="F26" i="1" l="1"/>
  <c r="F32" i="1" s="1"/>
</calcChain>
</file>

<file path=xl/sharedStrings.xml><?xml version="1.0" encoding="utf-8"?>
<sst xmlns="http://schemas.openxmlformats.org/spreadsheetml/2006/main" count="192" uniqueCount="158">
  <si>
    <t>Transferred funds</t>
  </si>
  <si>
    <t>Days</t>
  </si>
  <si>
    <t>Budget</t>
  </si>
  <si>
    <t>Project</t>
  </si>
  <si>
    <t>Total Available Budget</t>
  </si>
  <si>
    <t>EDW Programme top up Oct 2018</t>
  </si>
  <si>
    <t>EDW Programme top up Dec 2018</t>
  </si>
  <si>
    <t>Details</t>
  </si>
  <si>
    <t>Category</t>
  </si>
  <si>
    <t>Item</t>
  </si>
  <si>
    <t>Expected Spend</t>
  </si>
  <si>
    <t>BI Reponsive Service Bid</t>
  </si>
  <si>
    <t>Originally intended to fund the ongoing costs required to run the new BI tools and associated service.</t>
  </si>
  <si>
    <t>Key Strategic Information Bid</t>
  </si>
  <si>
    <t>Total Spend</t>
  </si>
  <si>
    <t>Expenditure</t>
  </si>
  <si>
    <t>Income</t>
  </si>
  <si>
    <t>ISG Bids</t>
  </si>
  <si>
    <t>External</t>
  </si>
  <si>
    <t>Programme Mng't</t>
  </si>
  <si>
    <t>BI / MI Programme - Budget Management as at 31/12/2018</t>
  </si>
  <si>
    <t>Originally intended to fund the work to bring data into the data warehouse.</t>
  </si>
  <si>
    <t>Additional Notes</t>
  </si>
  <si>
    <t>2019/20</t>
  </si>
  <si>
    <t>2020/21</t>
  </si>
  <si>
    <t>Actual Budget Remaining</t>
  </si>
  <si>
    <t>Expected Budget Remaining</t>
  </si>
  <si>
    <t>Originally bid for £300k, cut to £145k in the DT Portfolio review. Leaving £142 after admin overhead deductions.</t>
  </si>
  <si>
    <t>Originally bid for £150k, cut to £145k in the DT Portfolio review. Leaving £137 after admin overhead deductions.</t>
  </si>
  <si>
    <t>Key Strategic Reporting (DTI049)</t>
  </si>
  <si>
    <t>REF data requirements analysis (RIS008)</t>
  </si>
  <si>
    <t>HR Applications and e-Recruitment (? - Ken PM)</t>
  </si>
  <si>
    <t>Consultancy</t>
  </si>
  <si>
    <t>Training</t>
  </si>
  <si>
    <t>Danny, £1531.20 and £239.70 expenses</t>
  </si>
  <si>
    <t>Danny, £474 and £143.20 expenses</t>
  </si>
  <si>
    <t>HE Data Conference (PO: IS18162)</t>
  </si>
  <si>
    <t>IRM Conference (PO: IS18133)</t>
  </si>
  <si>
    <t>HR</t>
  </si>
  <si>
    <t>e-Recruitment Development Supplement</t>
  </si>
  <si>
    <t>Transfer of 60 days budget in 18/19 to cover 2 x Universes</t>
  </si>
  <si>
    <t>Note: Eva's financials list combined finances as £271,499.99?</t>
  </si>
  <si>
    <t>FTE</t>
  </si>
  <si>
    <t>Role</t>
  </si>
  <si>
    <t>Assumed Grade</t>
  </si>
  <si>
    <t>Group</t>
  </si>
  <si>
    <t>Anticipated Resource</t>
  </si>
  <si>
    <t>Anticipated term for BI role</t>
  </si>
  <si>
    <t>Forecast Cost
(19/20)</t>
  </si>
  <si>
    <t>Project Services</t>
  </si>
  <si>
    <t>Enterprise Arch.</t>
  </si>
  <si>
    <t>Wilbert</t>
  </si>
  <si>
    <t>Dev</t>
  </si>
  <si>
    <t>Rob</t>
  </si>
  <si>
    <t>Service Mng't</t>
  </si>
  <si>
    <t>* recruiting</t>
  </si>
  <si>
    <t>Anne</t>
  </si>
  <si>
    <t>Production Mng't</t>
  </si>
  <si>
    <t>GaSP</t>
  </si>
  <si>
    <t>Lynda</t>
  </si>
  <si>
    <t>DBA</t>
  </si>
  <si>
    <t>Total Staff</t>
  </si>
  <si>
    <t>Travel</t>
  </si>
  <si>
    <t>Contingency</t>
  </si>
  <si>
    <t>Total</t>
  </si>
  <si>
    <t>2018/19</t>
  </si>
  <si>
    <t>BI Resp. Service</t>
  </si>
  <si>
    <t>Key Strategic Info</t>
  </si>
  <si>
    <t>Assumptions, Risks &amp; Caveats:</t>
  </si>
  <si>
    <t>Ongoing license costs for new BI Tools, EDW, and Talend will be met by ISC going forward (c. £180k per annum not included in this budget).</t>
  </si>
  <si>
    <t>BI team resources will be fully committed to the agreed FTEs, resource contention to be escalated to the Project Sponsor.</t>
  </si>
  <si>
    <t>Business Analyst</t>
  </si>
  <si>
    <t>SEP Core Systems</t>
  </si>
  <si>
    <t>Data Architect</t>
  </si>
  <si>
    <t>ETL Developer</t>
  </si>
  <si>
    <t>Report Writer</t>
  </si>
  <si>
    <t>Production Support</t>
  </si>
  <si>
    <t>BI/MI Business Lead</t>
  </si>
  <si>
    <t>Danny</t>
  </si>
  <si>
    <t>Business Analyst  (1 FTE but no cost)</t>
  </si>
  <si>
    <t>* variable - recruiting</t>
  </si>
  <si>
    <t>Less</t>
  </si>
  <si>
    <t>Transfer to EDW</t>
  </si>
  <si>
    <t>Transfer to REF</t>
  </si>
  <si>
    <t>Original Budget</t>
  </si>
  <si>
    <t>Available Budget</t>
  </si>
  <si>
    <t>Days based Costing</t>
  </si>
  <si>
    <t>£9 extra per day for Grade 8's</t>
  </si>
  <si>
    <t>£79 extra per day for Grade 7's</t>
  </si>
  <si>
    <t>Other Potential Income</t>
  </si>
  <si>
    <r>
      <t xml:space="preserve">60 days = </t>
    </r>
    <r>
      <rPr>
        <b/>
        <sz val="11"/>
        <color theme="1"/>
        <rFont val="Calibri"/>
        <family val="2"/>
        <scheme val="minor"/>
      </rPr>
      <t>£21,000</t>
    </r>
  </si>
  <si>
    <t>Budget cut by £50k to £500k</t>
  </si>
  <si>
    <t>But commited for next 2 years</t>
  </si>
  <si>
    <t>Accounting for £30k Portfolio Mng't</t>
  </si>
  <si>
    <t>(combined)</t>
  </si>
  <si>
    <t>(DT Governance Board 13/03/2019)</t>
  </si>
  <si>
    <t>Expected available DT Budget (less Portfolio Mng't reduction)</t>
  </si>
  <si>
    <t>Dev Tech</t>
  </si>
  <si>
    <t>Future Years</t>
  </si>
  <si>
    <t>Original bid £300k, cut to total of £500k at the 13th March DT board.</t>
  </si>
  <si>
    <t>Original bid £250k, cut to total of £500k at the 13th March DT board.</t>
  </si>
  <si>
    <t>£500k</t>
  </si>
  <si>
    <t>Related Items</t>
  </si>
  <si>
    <t>BI / MI Lead salary costs</t>
  </si>
  <si>
    <t>DT is funding half of Lynda's post this year, the other half coming from SEP. Unknown if this is to be met by this budget or the cultural adoption pot.</t>
  </si>
  <si>
    <t>Never got put through officially as a project, due to change in strategic focus to work on HR and Finance.</t>
  </si>
  <si>
    <t>Project to replace the applications BOBJ Universe with a more fitting data mart and anonymised version. HR can contribute 60 days effort in year 2018/19, awaiting prioritsiation and confirmation that we will undertake the work (within the next year).</t>
  </si>
  <si>
    <t>BI Lead</t>
  </si>
  <si>
    <t>Gillian</t>
  </si>
  <si>
    <t>Service Manager / Management</t>
  </si>
  <si>
    <t>Day Rate</t>
  </si>
  <si>
    <t>Days or Salary Basis</t>
  </si>
  <si>
    <t>Avg. On Cost for Grade (19/20)</t>
  </si>
  <si>
    <t>Day rate</t>
  </si>
  <si>
    <t>Salary</t>
  </si>
  <si>
    <t>Geoff Cropley</t>
  </si>
  <si>
    <t>Kevin Harkin</t>
  </si>
  <si>
    <t>*Contract /Consultant?</t>
  </si>
  <si>
    <t>up to 07/2019</t>
  </si>
  <si>
    <t>up to 07/2020</t>
  </si>
  <si>
    <t>up to 07/2021</t>
  </si>
  <si>
    <t>up to 07/2021 ?</t>
  </si>
  <si>
    <t>up to 04/2021 ?</t>
  </si>
  <si>
    <t>** Data Warehouse / ETL Architect ?</t>
  </si>
  <si>
    <t>Geir</t>
  </si>
  <si>
    <t>Additional sponsor funded projects will require additional resourcing and management, separate from and without impacting the dedicated BI Team.</t>
  </si>
  <si>
    <t>** Note: Data Warehouse / ETL Architect may be required during initial stages.</t>
  </si>
  <si>
    <t xml:space="preserve">           (This could be covered by the backfill funding, but best to get more Dev resources (inc. another ETL developer for capacity) if possible)</t>
  </si>
  <si>
    <t>Calculation for 2018/19</t>
  </si>
  <si>
    <t>Calculation for steady state, full year (19/20 onward)</t>
  </si>
  <si>
    <t>Forecast Cost
(18/19)</t>
  </si>
  <si>
    <t>Start Date for BI role</t>
  </si>
  <si>
    <t>?</t>
  </si>
  <si>
    <t>Proportion of Full Year Forecast</t>
  </si>
  <si>
    <t>Project management methodology will be sufficiently agile for 0.6 FTE to manage and report the programme and projects within.</t>
  </si>
  <si>
    <t>Adjusted Forecast Cost
(18/19)</t>
  </si>
  <si>
    <t>Adjustment Notes</t>
  </si>
  <si>
    <t>0.2 FTE assigned for HESA return this year</t>
  </si>
  <si>
    <t>Approx 0.2 FTE booked during June</t>
  </si>
  <si>
    <t>HR Applicants Project HRS097</t>
  </si>
  <si>
    <t>HR Applicants?</t>
  </si>
  <si>
    <t>Budget Surplus</t>
  </si>
  <si>
    <t xml:space="preserve">     …plus £21,000 from HR Applicants if committed.</t>
  </si>
  <si>
    <t>Funding is guaranteed over the next two academic years to allow recruitment of 2 Year Fixed Term positions.</t>
  </si>
  <si>
    <t>additional Agile Training</t>
  </si>
  <si>
    <t>Known Contingency Items</t>
  </si>
  <si>
    <t>This is a first iteration of the dedicated team required to deliver the DT funded strategic reporting work.</t>
  </si>
  <si>
    <t xml:space="preserve">           (This may be difficult at present given a lack of suitable skills outside the team, and the need for a holistic design as the data warehouse evolves.)</t>
  </si>
  <si>
    <t>Anticipated terms do not reflect current contract end points for individuals, which may be brought in line now funding is fixed up to 07/2021.</t>
  </si>
  <si>
    <t>Programme &amp; project manager / support</t>
  </si>
  <si>
    <t xml:space="preserve">    =&gt; should be no ASTA against DT projects</t>
  </si>
  <si>
    <t xml:space="preserve">    (might charge ETL on Days basis in 18/19)</t>
  </si>
  <si>
    <t>Starting at 0.4 FTE this year</t>
  </si>
  <si>
    <t>Actual salary cost for full role (not agreed)</t>
  </si>
  <si>
    <t>42 days at full rate (£585.60)</t>
  </si>
  <si>
    <t>(adj. to match Finance actuals)</t>
  </si>
  <si>
    <t>Official start date 1st Sept so 11 months</t>
  </si>
  <si>
    <t>Budget estimate for BI resources  (v0.7)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</si>
</sst>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164" formatCode="&quot;£&quot;#,##0"/>
    <numFmt numFmtId="165" formatCode="0.0"/>
    <numFmt numFmtId="166" formatCode="&quot;£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7" xfId="0" applyNumberFormat="1" applyBorder="1"/>
    <xf numFmtId="164" fontId="4" fillId="0" borderId="0" xfId="0" applyNumberFormat="1" applyFont="1"/>
    <xf numFmtId="164" fontId="2" fillId="0" borderId="0" xfId="0" applyNumberFormat="1" applyFont="1"/>
    <xf numFmtId="0" fontId="5" fillId="0" borderId="7" xfId="0" applyFont="1" applyBorder="1"/>
    <xf numFmtId="0" fontId="5" fillId="0" borderId="7" xfId="0" applyFont="1" applyBorder="1" applyAlignment="1">
      <alignment wrapText="1"/>
    </xf>
    <xf numFmtId="164" fontId="5" fillId="0" borderId="7" xfId="0" applyNumberFormat="1" applyFont="1" applyBorder="1"/>
    <xf numFmtId="164" fontId="4" fillId="2" borderId="0" xfId="0" applyNumberFormat="1" applyFont="1" applyFill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0" fontId="7" fillId="0" borderId="0" xfId="0" applyFont="1" applyAlignment="1">
      <alignment horizontal="left" vertical="center"/>
    </xf>
    <xf numFmtId="0" fontId="0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Fill="1"/>
    <xf numFmtId="0" fontId="1" fillId="0" borderId="7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164" fontId="1" fillId="0" borderId="7" xfId="0" applyNumberFormat="1" applyFont="1" applyBorder="1"/>
    <xf numFmtId="0" fontId="9" fillId="0" borderId="0" xfId="0" applyFont="1" applyAlignment="1">
      <alignment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164" fontId="1" fillId="0" borderId="8" xfId="0" applyNumberFormat="1" applyFont="1" applyBorder="1"/>
    <xf numFmtId="0" fontId="1" fillId="0" borderId="0" xfId="0" applyFont="1" applyAlignment="1">
      <alignment wrapText="1"/>
    </xf>
    <xf numFmtId="0" fontId="0" fillId="0" borderId="7" xfId="0" applyFont="1" applyBorder="1"/>
    <xf numFmtId="0" fontId="0" fillId="0" borderId="7" xfId="0" applyFont="1" applyBorder="1" applyAlignment="1">
      <alignment wrapText="1"/>
    </xf>
    <xf numFmtId="164" fontId="0" fillId="0" borderId="7" xfId="0" applyNumberFormat="1" applyFont="1" applyBorder="1"/>
    <xf numFmtId="0" fontId="0" fillId="0" borderId="0" xfId="0" applyFont="1"/>
    <xf numFmtId="0" fontId="0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0" fillId="0" borderId="10" xfId="0" applyNumberFormat="1" applyBorder="1"/>
    <xf numFmtId="0" fontId="13" fillId="0" borderId="11" xfId="0" applyFont="1" applyBorder="1" applyAlignment="1">
      <alignment horizontal="left" vertical="center" indent="1"/>
    </xf>
    <xf numFmtId="0" fontId="0" fillId="0" borderId="11" xfId="0" applyBorder="1"/>
    <xf numFmtId="0" fontId="0" fillId="0" borderId="11" xfId="0" applyBorder="1" applyAlignment="1">
      <alignment horizontal="left" vertical="center" indent="1"/>
    </xf>
    <xf numFmtId="164" fontId="0" fillId="0" borderId="11" xfId="0" applyNumberFormat="1" applyBorder="1"/>
    <xf numFmtId="164" fontId="0" fillId="0" borderId="12" xfId="0" applyNumberFormat="1" applyBorder="1"/>
    <xf numFmtId="0" fontId="12" fillId="0" borderId="0" xfId="0" applyFont="1"/>
    <xf numFmtId="165" fontId="0" fillId="0" borderId="1" xfId="0" applyNumberFormat="1" applyBorder="1"/>
    <xf numFmtId="0" fontId="13" fillId="0" borderId="2" xfId="0" applyFont="1" applyBorder="1" applyAlignment="1">
      <alignment horizontal="left" vertical="center" indent="1"/>
    </xf>
    <xf numFmtId="0" fontId="0" fillId="0" borderId="2" xfId="0" applyBorder="1"/>
    <xf numFmtId="0" fontId="6" fillId="0" borderId="2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164" fontId="0" fillId="0" borderId="2" xfId="0" applyNumberFormat="1" applyBorder="1"/>
    <xf numFmtId="165" fontId="0" fillId="0" borderId="0" xfId="0" applyNumberFormat="1"/>
    <xf numFmtId="0" fontId="14" fillId="0" borderId="2" xfId="0" applyFont="1" applyBorder="1" applyAlignment="1">
      <alignment horizontal="left" vertical="center" indent="1"/>
    </xf>
    <xf numFmtId="165" fontId="0" fillId="0" borderId="13" xfId="0" applyNumberFormat="1" applyBorder="1"/>
    <xf numFmtId="0" fontId="13" fillId="0" borderId="14" xfId="0" applyFont="1" applyBorder="1" applyAlignment="1">
      <alignment horizontal="left" vertical="center" indent="1"/>
    </xf>
    <xf numFmtId="0" fontId="0" fillId="0" borderId="14" xfId="0" applyBorder="1"/>
    <xf numFmtId="0" fontId="0" fillId="0" borderId="14" xfId="0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164" fontId="0" fillId="0" borderId="14" xfId="0" applyNumberFormat="1" applyBorder="1"/>
    <xf numFmtId="164" fontId="0" fillId="0" borderId="15" xfId="0" applyNumberFormat="1" applyBorder="1"/>
    <xf numFmtId="165" fontId="1" fillId="0" borderId="16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164" fontId="1" fillId="0" borderId="18" xfId="0" applyNumberFormat="1" applyFont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left" vertical="center" inden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5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1" fillId="0" borderId="0" xfId="0" applyFont="1" applyAlignment="1">
      <alignment horizontal="right"/>
    </xf>
    <xf numFmtId="6" fontId="1" fillId="0" borderId="0" xfId="0" applyNumberFormat="1" applyFont="1"/>
    <xf numFmtId="0" fontId="12" fillId="0" borderId="0" xfId="0" applyFont="1" applyAlignment="1">
      <alignment horizontal="right"/>
    </xf>
    <xf numFmtId="164" fontId="12" fillId="0" borderId="0" xfId="0" applyNumberFormat="1" applyFont="1"/>
    <xf numFmtId="0" fontId="17" fillId="0" borderId="0" xfId="0" applyFont="1"/>
    <xf numFmtId="0" fontId="11" fillId="0" borderId="0" xfId="0" applyFont="1" applyAlignment="1">
      <alignment horizontal="right"/>
    </xf>
    <xf numFmtId="164" fontId="12" fillId="0" borderId="19" xfId="0" applyNumberFormat="1" applyFont="1" applyBorder="1"/>
    <xf numFmtId="0" fontId="10" fillId="0" borderId="0" xfId="0" applyFont="1"/>
    <xf numFmtId="0" fontId="8" fillId="0" borderId="2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64" fontId="18" fillId="0" borderId="19" xfId="0" applyNumberFormat="1" applyFont="1" applyBorder="1"/>
    <xf numFmtId="1" fontId="0" fillId="0" borderId="0" xfId="0" applyNumberFormat="1"/>
    <xf numFmtId="0" fontId="0" fillId="0" borderId="0" xfId="0" applyBorder="1"/>
    <xf numFmtId="165" fontId="0" fillId="0" borderId="0" xfId="0" applyNumberFormat="1" applyBorder="1"/>
    <xf numFmtId="1" fontId="0" fillId="0" borderId="0" xfId="0" applyNumberFormat="1" applyBorder="1"/>
    <xf numFmtId="1" fontId="20" fillId="0" borderId="0" xfId="0" applyNumberFormat="1" applyFont="1" applyBorder="1" applyAlignment="1">
      <alignment horizontal="right"/>
    </xf>
    <xf numFmtId="0" fontId="20" fillId="0" borderId="0" xfId="0" applyFont="1"/>
    <xf numFmtId="0" fontId="2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0" fontId="0" fillId="0" borderId="2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" xfId="0" applyBorder="1" applyAlignment="1">
      <alignment wrapText="1"/>
    </xf>
    <xf numFmtId="0" fontId="8" fillId="0" borderId="11" xfId="0" applyFont="1" applyBorder="1" applyAlignment="1">
      <alignment horizontal="left" vertical="center" indent="1"/>
    </xf>
    <xf numFmtId="6" fontId="0" fillId="0" borderId="11" xfId="0" applyNumberFormat="1" applyBorder="1" applyAlignment="1">
      <alignment horizontal="left" vertical="center" indent="1"/>
    </xf>
    <xf numFmtId="6" fontId="0" fillId="0" borderId="14" xfId="0" applyNumberFormat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indent="1"/>
    </xf>
    <xf numFmtId="0" fontId="17" fillId="0" borderId="0" xfId="0" applyFont="1" applyBorder="1"/>
    <xf numFmtId="6" fontId="16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6" fontId="0" fillId="0" borderId="0" xfId="0" applyNumberFormat="1" applyBorder="1"/>
    <xf numFmtId="165" fontId="2" fillId="0" borderId="1" xfId="0" applyNumberFormat="1" applyFont="1" applyBorder="1"/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11" xfId="0" applyFont="1" applyBorder="1" applyAlignment="1">
      <alignment horizontal="left" vertical="center" indent="1"/>
    </xf>
    <xf numFmtId="164" fontId="2" fillId="0" borderId="11" xfId="0" applyNumberFormat="1" applyFont="1" applyBorder="1"/>
    <xf numFmtId="6" fontId="2" fillId="0" borderId="11" xfId="0" applyNumberFormat="1" applyFont="1" applyBorder="1" applyAlignment="1">
      <alignment horizontal="left" vertical="center" indent="1"/>
    </xf>
    <xf numFmtId="164" fontId="2" fillId="0" borderId="12" xfId="0" applyNumberFormat="1" applyFont="1" applyBorder="1"/>
    <xf numFmtId="1" fontId="2" fillId="0" borderId="0" xfId="0" applyNumberFormat="1" applyFont="1"/>
    <xf numFmtId="0" fontId="2" fillId="0" borderId="0" xfId="0" applyFont="1" applyFill="1" applyBorder="1" applyAlignment="1">
      <alignment horizontal="left" vertical="center" indent="1"/>
    </xf>
    <xf numFmtId="0" fontId="1" fillId="2" borderId="5" xfId="0" applyFon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left" vertical="center" indent="1"/>
    </xf>
    <xf numFmtId="14" fontId="8" fillId="2" borderId="11" xfId="0" applyNumberFormat="1" applyFont="1" applyFill="1" applyBorder="1" applyAlignment="1">
      <alignment horizontal="left" vertical="center" indent="1"/>
    </xf>
    <xf numFmtId="14" fontId="6" fillId="2" borderId="11" xfId="0" applyNumberFormat="1" applyFont="1" applyFill="1" applyBorder="1" applyAlignment="1">
      <alignment horizontal="left" vertical="center" indent="1"/>
    </xf>
    <xf numFmtId="14" fontId="6" fillId="2" borderId="14" xfId="0" applyNumberFormat="1" applyFont="1" applyFill="1" applyBorder="1" applyAlignment="1">
      <alignment horizontal="left" vertical="center" indent="1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right"/>
    </xf>
    <xf numFmtId="164" fontId="1" fillId="2" borderId="18" xfId="0" applyNumberFormat="1" applyFont="1" applyFill="1" applyBorder="1"/>
    <xf numFmtId="2" fontId="0" fillId="2" borderId="11" xfId="0" applyNumberFormat="1" applyFill="1" applyBorder="1"/>
    <xf numFmtId="2" fontId="0" fillId="2" borderId="14" xfId="0" applyNumberFormat="1" applyFill="1" applyBorder="1"/>
    <xf numFmtId="14" fontId="14" fillId="2" borderId="11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164" fontId="0" fillId="2" borderId="21" xfId="0" applyNumberFormat="1" applyFill="1" applyBorder="1"/>
    <xf numFmtId="164" fontId="0" fillId="2" borderId="24" xfId="0" applyNumberFormat="1" applyFill="1" applyBorder="1"/>
    <xf numFmtId="0" fontId="1" fillId="2" borderId="25" xfId="0" applyFont="1" applyFill="1" applyBorder="1" applyAlignment="1">
      <alignment horizontal="center" vertical="center" wrapText="1"/>
    </xf>
    <xf numFmtId="164" fontId="0" fillId="2" borderId="26" xfId="0" applyNumberFormat="1" applyFill="1" applyBorder="1"/>
    <xf numFmtId="164" fontId="0" fillId="2" borderId="27" xfId="0" applyNumberFormat="1" applyFill="1" applyBorder="1"/>
    <xf numFmtId="0" fontId="21" fillId="0" borderId="0" xfId="0" applyFont="1" applyAlignment="1">
      <alignment horizontal="right"/>
    </xf>
    <xf numFmtId="0" fontId="21" fillId="0" borderId="0" xfId="0" applyFont="1"/>
    <xf numFmtId="164" fontId="18" fillId="0" borderId="7" xfId="0" applyNumberFormat="1" applyFont="1" applyBorder="1"/>
    <xf numFmtId="164" fontId="20" fillId="0" borderId="0" xfId="0" applyNumberFormat="1" applyFont="1"/>
    <xf numFmtId="164" fontId="2" fillId="0" borderId="7" xfId="0" applyNumberFormat="1" applyFont="1" applyBorder="1"/>
    <xf numFmtId="0" fontId="21" fillId="0" borderId="0" xfId="0" applyFont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18" fillId="0" borderId="0" xfId="0" applyNumberFormat="1" applyFont="1" applyBorder="1"/>
    <xf numFmtId="0" fontId="18" fillId="0" borderId="0" xfId="0" applyFont="1" applyBorder="1"/>
    <xf numFmtId="0" fontId="19" fillId="0" borderId="0" xfId="0" applyFont="1" applyBorder="1" applyAlignment="1">
      <alignment horizontal="right"/>
    </xf>
    <xf numFmtId="16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Alignment="1">
      <alignment horizontal="left"/>
    </xf>
    <xf numFmtId="0" fontId="22" fillId="0" borderId="0" xfId="0" applyFont="1" applyBorder="1" applyAlignment="1">
      <alignment horizontal="left" vertical="center"/>
    </xf>
    <xf numFmtId="6" fontId="2" fillId="0" borderId="0" xfId="0" applyNumberFormat="1" applyFont="1"/>
    <xf numFmtId="0" fontId="23" fillId="0" borderId="0" xfId="0" applyFont="1" applyAlignment="1"/>
    <xf numFmtId="0" fontId="24" fillId="0" borderId="0" xfId="0" applyFont="1" applyAlignment="1">
      <alignment horizontal="center"/>
    </xf>
    <xf numFmtId="166" fontId="0" fillId="2" borderId="26" xfId="0" applyNumberFormat="1" applyFill="1" applyBorder="1"/>
    <xf numFmtId="164" fontId="12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3</xdr:row>
      <xdr:rowOff>38100</xdr:rowOff>
    </xdr:from>
    <xdr:to>
      <xdr:col>18</xdr:col>
      <xdr:colOff>1504951</xdr:colOff>
      <xdr:row>28</xdr:row>
      <xdr:rowOff>38100</xdr:rowOff>
    </xdr:to>
    <xdr:sp macro="" textlink="">
      <xdr:nvSpPr>
        <xdr:cNvPr id="2" name="Rectangle 1"/>
        <xdr:cNvSpPr/>
      </xdr:nvSpPr>
      <xdr:spPr>
        <a:xfrm>
          <a:off x="66676" y="1085850"/>
          <a:ext cx="18688050" cy="5305425"/>
        </a:xfrm>
        <a:prstGeom prst="rect">
          <a:avLst/>
        </a:prstGeom>
        <a:noFill/>
        <a:ln w="28575" cap="flat" cmpd="sng" algn="ctr">
          <a:solidFill>
            <a:schemeClr val="accent5">
              <a:lumMod val="40000"/>
              <a:lumOff val="6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accent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676275</xdr:colOff>
      <xdr:row>32</xdr:row>
      <xdr:rowOff>38100</xdr:rowOff>
    </xdr:from>
    <xdr:to>
      <xdr:col>14</xdr:col>
      <xdr:colOff>323850</xdr:colOff>
      <xdr:row>45</xdr:row>
      <xdr:rowOff>152400</xdr:rowOff>
    </xdr:to>
    <xdr:sp macro="" textlink="">
      <xdr:nvSpPr>
        <xdr:cNvPr id="3" name="Rectangle 2"/>
        <xdr:cNvSpPr/>
      </xdr:nvSpPr>
      <xdr:spPr>
        <a:xfrm>
          <a:off x="10725150" y="6115050"/>
          <a:ext cx="4171950" cy="2609850"/>
        </a:xfrm>
        <a:prstGeom prst="rect">
          <a:avLst/>
        </a:prstGeom>
        <a:noFill/>
        <a:ln w="28575" cap="flat" cmpd="sng" algn="ctr">
          <a:solidFill>
            <a:schemeClr val="accent6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447676</xdr:colOff>
      <xdr:row>32</xdr:row>
      <xdr:rowOff>0</xdr:rowOff>
    </xdr:from>
    <xdr:to>
      <xdr:col>18</xdr:col>
      <xdr:colOff>381001</xdr:colOff>
      <xdr:row>35</xdr:row>
      <xdr:rowOff>95250</xdr:rowOff>
    </xdr:to>
    <xdr:sp macro="" textlink="">
      <xdr:nvSpPr>
        <xdr:cNvPr id="6" name="Rectangle 5"/>
        <xdr:cNvSpPr/>
      </xdr:nvSpPr>
      <xdr:spPr>
        <a:xfrm>
          <a:off x="15020926" y="6076950"/>
          <a:ext cx="2209800" cy="666750"/>
        </a:xfrm>
        <a:prstGeom prst="rect">
          <a:avLst/>
        </a:prstGeom>
        <a:noFill/>
        <a:ln w="2857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447676</xdr:colOff>
      <xdr:row>41</xdr:row>
      <xdr:rowOff>161925</xdr:rowOff>
    </xdr:from>
    <xdr:to>
      <xdr:col>18</xdr:col>
      <xdr:colOff>371475</xdr:colOff>
      <xdr:row>45</xdr:row>
      <xdr:rowOff>152400</xdr:rowOff>
    </xdr:to>
    <xdr:sp macro="" textlink="">
      <xdr:nvSpPr>
        <xdr:cNvPr id="8" name="Rectangle 7"/>
        <xdr:cNvSpPr/>
      </xdr:nvSpPr>
      <xdr:spPr>
        <a:xfrm>
          <a:off x="15020926" y="7962900"/>
          <a:ext cx="2200274" cy="762000"/>
        </a:xfrm>
        <a:prstGeom prst="rect">
          <a:avLst/>
        </a:prstGeom>
        <a:noFill/>
        <a:ln w="28575" cap="flat" cmpd="sng" algn="ctr">
          <a:solidFill>
            <a:schemeClr val="accent6">
              <a:lumMod val="40000"/>
              <a:lumOff val="6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914404</xdr:colOff>
      <xdr:row>38</xdr:row>
      <xdr:rowOff>133352</xdr:rowOff>
    </xdr:from>
    <xdr:to>
      <xdr:col>14</xdr:col>
      <xdr:colOff>447676</xdr:colOff>
      <xdr:row>43</xdr:row>
      <xdr:rowOff>161925</xdr:rowOff>
    </xdr:to>
    <xdr:cxnSp macro="">
      <xdr:nvCxnSpPr>
        <xdr:cNvPr id="9" name="Straight Arrow Connector 8"/>
        <xdr:cNvCxnSpPr>
          <a:stCxn id="8" idx="1"/>
        </xdr:cNvCxnSpPr>
      </xdr:nvCxnSpPr>
      <xdr:spPr>
        <a:xfrm flipH="1" flipV="1">
          <a:off x="12839704" y="7353302"/>
          <a:ext cx="2181222" cy="9905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447676</xdr:colOff>
      <xdr:row>36</xdr:row>
      <xdr:rowOff>133350</xdr:rowOff>
    </xdr:from>
    <xdr:to>
      <xdr:col>18</xdr:col>
      <xdr:colOff>371475</xdr:colOff>
      <xdr:row>41</xdr:row>
      <xdr:rowOff>76200</xdr:rowOff>
    </xdr:to>
    <xdr:sp macro="" textlink="">
      <xdr:nvSpPr>
        <xdr:cNvPr id="10" name="Rectangle 9"/>
        <xdr:cNvSpPr/>
      </xdr:nvSpPr>
      <xdr:spPr>
        <a:xfrm>
          <a:off x="15020926" y="6972300"/>
          <a:ext cx="2200274" cy="904875"/>
        </a:xfrm>
        <a:prstGeom prst="rect">
          <a:avLst/>
        </a:prstGeom>
        <a:noFill/>
        <a:ln w="28575" cap="flat" cmpd="sng" algn="ctr">
          <a:solidFill>
            <a:schemeClr val="accent6">
              <a:lumMod val="40000"/>
              <a:lumOff val="6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6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19053</xdr:colOff>
      <xdr:row>36</xdr:row>
      <xdr:rowOff>123828</xdr:rowOff>
    </xdr:from>
    <xdr:to>
      <xdr:col>14</xdr:col>
      <xdr:colOff>447676</xdr:colOff>
      <xdr:row>39</xdr:row>
      <xdr:rowOff>14288</xdr:rowOff>
    </xdr:to>
    <xdr:cxnSp macro="">
      <xdr:nvCxnSpPr>
        <xdr:cNvPr id="11" name="Straight Arrow Connector 10"/>
        <xdr:cNvCxnSpPr>
          <a:stCxn id="10" idx="1"/>
        </xdr:cNvCxnSpPr>
      </xdr:nvCxnSpPr>
      <xdr:spPr>
        <a:xfrm flipH="1" flipV="1">
          <a:off x="13687428" y="6962778"/>
          <a:ext cx="1333498" cy="4619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333375</xdr:rowOff>
    </xdr:from>
    <xdr:to>
      <xdr:col>7</xdr:col>
      <xdr:colOff>123825</xdr:colOff>
      <xdr:row>9</xdr:row>
      <xdr:rowOff>0</xdr:rowOff>
    </xdr:to>
    <xdr:cxnSp macro="">
      <xdr:nvCxnSpPr>
        <xdr:cNvPr id="3" name="Straight Arrow Connector 2"/>
        <xdr:cNvCxnSpPr/>
      </xdr:nvCxnSpPr>
      <xdr:spPr>
        <a:xfrm flipH="1" flipV="1">
          <a:off x="11706225" y="2190750"/>
          <a:ext cx="74295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66"/>
  <sheetViews>
    <sheetView showGridLines="0" tabSelected="1" workbookViewId="0">
      <selection activeCell="A2" sqref="A2:S2"/>
    </sheetView>
  </sheetViews>
  <sheetFormatPr defaultRowHeight="15" x14ac:dyDescent="0.25"/>
  <cols>
    <col min="1" max="1" width="3.28515625" customWidth="1"/>
    <col min="3" max="3" width="37.5703125" customWidth="1"/>
    <col min="4" max="4" width="10" customWidth="1"/>
    <col min="5" max="5" width="19.85546875" customWidth="1"/>
    <col min="6" max="6" width="23.28515625" customWidth="1"/>
    <col min="7" max="7" width="19.85546875" customWidth="1"/>
    <col min="8" max="8" width="16.28515625" customWidth="1"/>
    <col min="9" max="9" width="12.28515625" customWidth="1"/>
    <col min="10" max="10" width="14.5703125" customWidth="1"/>
    <col min="11" max="11" width="13.5703125" customWidth="1"/>
    <col min="12" max="12" width="14.28515625" customWidth="1"/>
    <col min="13" max="13" width="11.85546875" customWidth="1"/>
    <col min="14" max="14" width="13.5703125" customWidth="1"/>
    <col min="15" max="15" width="13.28515625" customWidth="1"/>
    <col min="16" max="17" width="8.85546875" customWidth="1"/>
    <col min="19" max="19" width="21.42578125" customWidth="1"/>
    <col min="20" max="20" width="16.140625" customWidth="1"/>
    <col min="21" max="21" width="14.42578125" customWidth="1"/>
    <col min="22" max="22" width="16.140625" customWidth="1"/>
    <col min="23" max="25" width="14.85546875" customWidth="1"/>
    <col min="26" max="26" width="4.28515625" customWidth="1"/>
    <col min="27" max="27" width="14.5703125" customWidth="1"/>
    <col min="28" max="28" width="10.140625" bestFit="1" customWidth="1"/>
  </cols>
  <sheetData>
    <row r="2" spans="1:32" ht="33.75" x14ac:dyDescent="0.5">
      <c r="A2" s="176" t="s">
        <v>157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32" ht="33.75" x14ac:dyDescent="0.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</row>
    <row r="4" spans="1:32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32" ht="21.75" thickBot="1" x14ac:dyDescent="0.4">
      <c r="C5" s="172" t="s">
        <v>129</v>
      </c>
      <c r="L5" s="172" t="s">
        <v>128</v>
      </c>
      <c r="R5" s="103"/>
      <c r="S5" s="103"/>
      <c r="T5" s="103"/>
    </row>
    <row r="6" spans="1:32" s="32" customFormat="1" ht="45.75" thickBot="1" x14ac:dyDescent="0.3">
      <c r="B6" s="49" t="s">
        <v>42</v>
      </c>
      <c r="C6" s="50" t="s">
        <v>43</v>
      </c>
      <c r="D6" s="51" t="s">
        <v>44</v>
      </c>
      <c r="E6" s="51" t="s">
        <v>45</v>
      </c>
      <c r="F6" s="51" t="s">
        <v>46</v>
      </c>
      <c r="G6" s="51" t="s">
        <v>47</v>
      </c>
      <c r="H6" s="51" t="s">
        <v>112</v>
      </c>
      <c r="I6" s="51" t="s">
        <v>110</v>
      </c>
      <c r="J6" s="51" t="s">
        <v>111</v>
      </c>
      <c r="K6" s="52" t="s">
        <v>48</v>
      </c>
      <c r="L6" s="139" t="s">
        <v>131</v>
      </c>
      <c r="M6" s="139" t="s">
        <v>133</v>
      </c>
      <c r="N6" s="151" t="s">
        <v>130</v>
      </c>
      <c r="O6" s="154" t="s">
        <v>135</v>
      </c>
      <c r="P6" s="96"/>
      <c r="Q6" s="170" t="s">
        <v>136</v>
      </c>
      <c r="S6" s="108"/>
      <c r="T6" s="109"/>
      <c r="U6" s="110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25">
      <c r="B7" s="53">
        <v>0.6</v>
      </c>
      <c r="C7" s="54" t="s">
        <v>149</v>
      </c>
      <c r="D7" s="55">
        <v>8</v>
      </c>
      <c r="E7" s="56" t="s">
        <v>49</v>
      </c>
      <c r="F7" s="124" t="s">
        <v>115</v>
      </c>
      <c r="G7" s="56" t="s">
        <v>118</v>
      </c>
      <c r="H7" s="57">
        <v>63014</v>
      </c>
      <c r="I7" s="122">
        <v>350</v>
      </c>
      <c r="J7" s="57" t="s">
        <v>113</v>
      </c>
      <c r="K7" s="58">
        <f>IF(J7="Salary", (H7*B7), ((I7*185)*B7))</f>
        <v>38850</v>
      </c>
      <c r="L7" s="140">
        <v>43570</v>
      </c>
      <c r="M7" s="147">
        <f>((DATE(2019, 8, 1) - L7)/365)</f>
        <v>0.29589041095890412</v>
      </c>
      <c r="N7" s="152">
        <f>K7*M7</f>
        <v>11495.342465753425</v>
      </c>
      <c r="O7" s="155">
        <v>24595.200000000001</v>
      </c>
      <c r="P7" s="97"/>
      <c r="Q7" s="97" t="s">
        <v>154</v>
      </c>
      <c r="S7" s="112"/>
      <c r="T7" s="113"/>
      <c r="U7" s="114"/>
    </row>
    <row r="8" spans="1:32" x14ac:dyDescent="0.25">
      <c r="B8" s="53">
        <v>0.81100000000000005</v>
      </c>
      <c r="C8" s="54" t="s">
        <v>107</v>
      </c>
      <c r="D8" s="55">
        <v>8</v>
      </c>
      <c r="E8" s="56" t="s">
        <v>49</v>
      </c>
      <c r="F8" s="56" t="s">
        <v>78</v>
      </c>
      <c r="G8" s="56" t="s">
        <v>120</v>
      </c>
      <c r="H8" s="57">
        <v>63014</v>
      </c>
      <c r="I8" s="122">
        <v>350</v>
      </c>
      <c r="J8" s="57" t="s">
        <v>114</v>
      </c>
      <c r="K8" s="58">
        <f t="shared" ref="K8:K19" si="0">IF(J8="Salary", (H8*B8), ((I8*185)*B8))</f>
        <v>51104.354000000007</v>
      </c>
      <c r="L8" s="140">
        <v>43332</v>
      </c>
      <c r="M8" s="147">
        <f t="shared" ref="M8:M19" si="1">((DATE(2019, 8, 1) - L8)/365)</f>
        <v>0.94794520547945205</v>
      </c>
      <c r="N8" s="152">
        <f>K8*M8</f>
        <v>48444.127353424665</v>
      </c>
      <c r="O8" s="155">
        <f>N8</f>
        <v>48444.127353424665</v>
      </c>
      <c r="P8" s="97"/>
      <c r="R8" s="97"/>
      <c r="S8" s="112"/>
      <c r="T8" s="113"/>
      <c r="U8" s="114"/>
      <c r="Y8" s="102"/>
    </row>
    <row r="9" spans="1:32" x14ac:dyDescent="0.25">
      <c r="B9" s="60">
        <v>0.5</v>
      </c>
      <c r="C9" s="61" t="s">
        <v>77</v>
      </c>
      <c r="D9" s="62">
        <v>9</v>
      </c>
      <c r="E9" s="65" t="s">
        <v>58</v>
      </c>
      <c r="F9" s="65" t="s">
        <v>59</v>
      </c>
      <c r="G9" s="121" t="s">
        <v>121</v>
      </c>
      <c r="H9" s="57">
        <v>67402</v>
      </c>
      <c r="I9" s="122">
        <v>350</v>
      </c>
      <c r="J9" s="57" t="s">
        <v>114</v>
      </c>
      <c r="K9" s="58">
        <f>IF(J9="Salary", (H9*B9), ((I9*185)*B9))</f>
        <v>33701</v>
      </c>
      <c r="L9" s="149">
        <v>43313</v>
      </c>
      <c r="M9" s="147">
        <f t="shared" si="1"/>
        <v>1</v>
      </c>
      <c r="N9" s="152">
        <f t="shared" ref="N9:N19" si="2">K9*M9</f>
        <v>33701</v>
      </c>
      <c r="O9" s="174">
        <f>N9*11/12</f>
        <v>30892.583333333332</v>
      </c>
      <c r="P9" s="97"/>
      <c r="Q9" t="s">
        <v>156</v>
      </c>
      <c r="R9" s="97"/>
      <c r="S9" s="112"/>
      <c r="T9" s="113"/>
      <c r="U9" s="114"/>
      <c r="Y9" s="102"/>
    </row>
    <row r="10" spans="1:32" x14ac:dyDescent="0.25">
      <c r="B10" s="60">
        <v>0.2</v>
      </c>
      <c r="C10" s="61" t="s">
        <v>71</v>
      </c>
      <c r="D10" s="62">
        <v>8</v>
      </c>
      <c r="E10" s="56" t="s">
        <v>58</v>
      </c>
      <c r="F10" s="68" t="s">
        <v>116</v>
      </c>
      <c r="G10" s="56" t="s">
        <v>118</v>
      </c>
      <c r="H10" s="57">
        <v>63014</v>
      </c>
      <c r="I10" s="122">
        <v>350</v>
      </c>
      <c r="J10" s="57" t="s">
        <v>114</v>
      </c>
      <c r="K10" s="58">
        <f t="shared" si="0"/>
        <v>12602.800000000001</v>
      </c>
      <c r="L10" s="140">
        <v>43598</v>
      </c>
      <c r="M10" s="147">
        <f t="shared" si="1"/>
        <v>0.21917808219178081</v>
      </c>
      <c r="N10" s="152">
        <f t="shared" si="2"/>
        <v>2762.2575342465752</v>
      </c>
      <c r="O10" s="174">
        <f>N10 *2</f>
        <v>5524.5150684931505</v>
      </c>
      <c r="P10" s="97"/>
      <c r="Q10" t="s">
        <v>152</v>
      </c>
      <c r="R10" s="97"/>
      <c r="S10" s="112"/>
      <c r="T10" s="113"/>
      <c r="U10" s="114"/>
      <c r="Y10" s="102"/>
    </row>
    <row r="11" spans="1:32" x14ac:dyDescent="0.25">
      <c r="B11" s="60"/>
      <c r="C11" s="61" t="s">
        <v>79</v>
      </c>
      <c r="D11" s="62"/>
      <c r="E11" s="56" t="s">
        <v>72</v>
      </c>
      <c r="F11" s="95" t="s">
        <v>55</v>
      </c>
      <c r="G11" s="121" t="s">
        <v>119</v>
      </c>
      <c r="H11" s="57"/>
      <c r="I11" s="122"/>
      <c r="J11" s="57"/>
      <c r="K11" s="58">
        <f t="shared" si="0"/>
        <v>0</v>
      </c>
      <c r="L11" s="141" t="s">
        <v>132</v>
      </c>
      <c r="M11" s="147"/>
      <c r="N11" s="152">
        <f t="shared" si="2"/>
        <v>0</v>
      </c>
      <c r="O11" s="155">
        <f t="shared" ref="O11:O19" si="3">N11</f>
        <v>0</v>
      </c>
      <c r="P11" s="97"/>
      <c r="R11" s="97"/>
      <c r="S11" s="112"/>
      <c r="T11" s="113"/>
      <c r="U11" s="114"/>
      <c r="Y11" s="102"/>
    </row>
    <row r="12" spans="1:32" x14ac:dyDescent="0.25">
      <c r="B12" s="60">
        <v>0.5</v>
      </c>
      <c r="C12" s="61" t="s">
        <v>73</v>
      </c>
      <c r="D12" s="62">
        <v>8</v>
      </c>
      <c r="E12" s="65" t="s">
        <v>50</v>
      </c>
      <c r="F12" s="65" t="s">
        <v>51</v>
      </c>
      <c r="G12" s="56" t="s">
        <v>120</v>
      </c>
      <c r="H12" s="57">
        <v>63014</v>
      </c>
      <c r="I12" s="122">
        <v>350</v>
      </c>
      <c r="J12" s="57" t="s">
        <v>114</v>
      </c>
      <c r="K12" s="58">
        <f t="shared" si="0"/>
        <v>31507</v>
      </c>
      <c r="L12" s="140">
        <v>43497</v>
      </c>
      <c r="M12" s="147">
        <f t="shared" si="1"/>
        <v>0.49589041095890413</v>
      </c>
      <c r="N12" s="152">
        <f t="shared" si="2"/>
        <v>15624.019178082192</v>
      </c>
      <c r="O12" s="155">
        <f t="shared" si="3"/>
        <v>15624.019178082192</v>
      </c>
      <c r="P12" s="97"/>
      <c r="R12" s="97"/>
      <c r="S12" s="112"/>
      <c r="T12" s="113"/>
      <c r="U12" s="114"/>
      <c r="Y12" s="102"/>
    </row>
    <row r="13" spans="1:32" s="1" customFormat="1" x14ac:dyDescent="0.25">
      <c r="B13" s="130"/>
      <c r="C13" s="131" t="s">
        <v>123</v>
      </c>
      <c r="D13" s="132"/>
      <c r="E13" s="131"/>
      <c r="F13" s="131" t="s">
        <v>117</v>
      </c>
      <c r="G13" s="133"/>
      <c r="H13" s="134"/>
      <c r="I13" s="135"/>
      <c r="J13" s="134"/>
      <c r="K13" s="136">
        <f t="shared" si="0"/>
        <v>0</v>
      </c>
      <c r="L13" s="140"/>
      <c r="M13" s="147"/>
      <c r="N13" s="152">
        <f t="shared" si="2"/>
        <v>0</v>
      </c>
      <c r="O13" s="155">
        <f t="shared" si="3"/>
        <v>0</v>
      </c>
      <c r="P13" s="111"/>
      <c r="R13" s="111"/>
      <c r="S13" s="112"/>
      <c r="T13" s="113"/>
      <c r="U13" s="113"/>
      <c r="Y13" s="137"/>
    </row>
    <row r="14" spans="1:32" x14ac:dyDescent="0.25">
      <c r="B14" s="60">
        <v>1</v>
      </c>
      <c r="C14" s="61" t="s">
        <v>74</v>
      </c>
      <c r="D14" s="62">
        <v>8</v>
      </c>
      <c r="E14" s="65" t="s">
        <v>52</v>
      </c>
      <c r="F14" s="65" t="s">
        <v>53</v>
      </c>
      <c r="G14" s="56" t="s">
        <v>120</v>
      </c>
      <c r="H14" s="57">
        <v>63014</v>
      </c>
      <c r="I14" s="122">
        <v>350</v>
      </c>
      <c r="J14" s="57" t="s">
        <v>114</v>
      </c>
      <c r="K14" s="58">
        <f t="shared" si="0"/>
        <v>63014</v>
      </c>
      <c r="L14" s="140">
        <v>43612</v>
      </c>
      <c r="M14" s="147">
        <f t="shared" si="1"/>
        <v>0.18082191780821918</v>
      </c>
      <c r="N14" s="152">
        <f t="shared" si="2"/>
        <v>11394.312328767124</v>
      </c>
      <c r="O14" s="155">
        <f>N14*0.8</f>
        <v>9115.4498630137005</v>
      </c>
      <c r="P14" s="97"/>
      <c r="Q14" t="s">
        <v>137</v>
      </c>
      <c r="R14" s="97"/>
      <c r="S14" s="112"/>
      <c r="T14" s="113"/>
      <c r="U14" s="114"/>
      <c r="Y14" s="102"/>
    </row>
    <row r="15" spans="1:32" x14ac:dyDescent="0.25">
      <c r="B15" s="60">
        <v>1</v>
      </c>
      <c r="C15" s="61" t="s">
        <v>74</v>
      </c>
      <c r="D15" s="62">
        <v>8</v>
      </c>
      <c r="E15" s="65" t="s">
        <v>52</v>
      </c>
      <c r="F15" s="65" t="s">
        <v>124</v>
      </c>
      <c r="G15" s="56" t="s">
        <v>120</v>
      </c>
      <c r="H15" s="57">
        <v>63014</v>
      </c>
      <c r="I15" s="122">
        <v>350</v>
      </c>
      <c r="J15" s="57" t="s">
        <v>114</v>
      </c>
      <c r="K15" s="58">
        <f t="shared" si="0"/>
        <v>63014</v>
      </c>
      <c r="L15" s="140">
        <v>43605</v>
      </c>
      <c r="M15" s="147">
        <f t="shared" si="1"/>
        <v>0.2</v>
      </c>
      <c r="N15" s="152">
        <f t="shared" si="2"/>
        <v>12602.800000000001</v>
      </c>
      <c r="O15" s="155">
        <f>N15*0.9</f>
        <v>11342.52</v>
      </c>
      <c r="P15" s="97"/>
      <c r="Q15" t="s">
        <v>138</v>
      </c>
      <c r="R15" s="97"/>
      <c r="S15" s="112"/>
      <c r="T15" s="113"/>
      <c r="U15" s="114"/>
      <c r="Y15" s="102"/>
    </row>
    <row r="16" spans="1:32" x14ac:dyDescent="0.25">
      <c r="B16" s="60">
        <v>0.2</v>
      </c>
      <c r="C16" s="61" t="s">
        <v>60</v>
      </c>
      <c r="D16" s="62">
        <v>8</v>
      </c>
      <c r="E16" s="65" t="s">
        <v>97</v>
      </c>
      <c r="F16" s="68" t="s">
        <v>108</v>
      </c>
      <c r="G16" s="56" t="s">
        <v>120</v>
      </c>
      <c r="H16" s="57">
        <v>63014</v>
      </c>
      <c r="I16" s="122">
        <v>350</v>
      </c>
      <c r="J16" s="57" t="s">
        <v>113</v>
      </c>
      <c r="K16" s="58">
        <f>IF(J16="Salary", (H16*B16), ((I16*185)*B16))</f>
        <v>12950</v>
      </c>
      <c r="L16" s="140">
        <v>43591</v>
      </c>
      <c r="M16" s="147">
        <f t="shared" si="1"/>
        <v>0.23835616438356164</v>
      </c>
      <c r="N16" s="152">
        <f t="shared" si="2"/>
        <v>3086.7123287671234</v>
      </c>
      <c r="O16" s="155">
        <f t="shared" si="3"/>
        <v>3086.7123287671234</v>
      </c>
      <c r="P16" s="97"/>
      <c r="Q16" s="1" t="s">
        <v>151</v>
      </c>
      <c r="R16" s="97"/>
      <c r="S16" s="112"/>
      <c r="T16" s="114"/>
      <c r="U16" s="114"/>
      <c r="Y16" s="102"/>
    </row>
    <row r="17" spans="2:28" x14ac:dyDescent="0.25">
      <c r="B17" s="60">
        <v>1</v>
      </c>
      <c r="C17" s="61" t="s">
        <v>75</v>
      </c>
      <c r="D17" s="62">
        <v>7</v>
      </c>
      <c r="E17" s="65" t="s">
        <v>54</v>
      </c>
      <c r="F17" s="63" t="s">
        <v>55</v>
      </c>
      <c r="G17" s="64" t="s">
        <v>120</v>
      </c>
      <c r="H17" s="66">
        <v>50162</v>
      </c>
      <c r="I17" s="122">
        <v>350</v>
      </c>
      <c r="J17" s="57" t="s">
        <v>114</v>
      </c>
      <c r="K17" s="58">
        <f t="shared" si="0"/>
        <v>50162</v>
      </c>
      <c r="L17" s="142">
        <v>43647</v>
      </c>
      <c r="M17" s="147">
        <f t="shared" si="1"/>
        <v>8.4931506849315067E-2</v>
      </c>
      <c r="N17" s="152">
        <f t="shared" si="2"/>
        <v>4260.3342465753421</v>
      </c>
      <c r="O17" s="155">
        <f t="shared" si="3"/>
        <v>4260.3342465753421</v>
      </c>
      <c r="P17" s="97"/>
      <c r="R17" s="97"/>
      <c r="S17" s="112"/>
      <c r="T17" s="113"/>
      <c r="U17" s="114"/>
      <c r="X17" s="67"/>
      <c r="Y17" s="102"/>
    </row>
    <row r="18" spans="2:28" x14ac:dyDescent="0.25">
      <c r="B18" s="60">
        <v>1</v>
      </c>
      <c r="C18" s="61" t="s">
        <v>109</v>
      </c>
      <c r="D18" s="62">
        <v>7</v>
      </c>
      <c r="E18" s="65" t="s">
        <v>54</v>
      </c>
      <c r="F18" s="65" t="s">
        <v>56</v>
      </c>
      <c r="G18" s="56" t="s">
        <v>120</v>
      </c>
      <c r="H18" s="66">
        <v>50162</v>
      </c>
      <c r="I18" s="122">
        <v>350</v>
      </c>
      <c r="J18" s="57" t="s">
        <v>114</v>
      </c>
      <c r="K18" s="58">
        <f t="shared" si="0"/>
        <v>50162</v>
      </c>
      <c r="L18" s="140">
        <v>43313</v>
      </c>
      <c r="M18" s="147">
        <f t="shared" si="1"/>
        <v>1</v>
      </c>
      <c r="N18" s="152">
        <f t="shared" si="2"/>
        <v>50162</v>
      </c>
      <c r="O18" s="155">
        <v>44054</v>
      </c>
      <c r="P18" s="97"/>
      <c r="Q18" s="27" t="s">
        <v>153</v>
      </c>
      <c r="R18" s="97"/>
      <c r="S18" s="112"/>
      <c r="T18" s="113"/>
      <c r="U18" s="114"/>
      <c r="Y18" s="102"/>
    </row>
    <row r="19" spans="2:28" ht="15.75" thickBot="1" x14ac:dyDescent="0.3">
      <c r="B19" s="69">
        <v>0.5</v>
      </c>
      <c r="C19" s="70" t="s">
        <v>76</v>
      </c>
      <c r="D19" s="71">
        <v>7</v>
      </c>
      <c r="E19" s="72" t="s">
        <v>57</v>
      </c>
      <c r="F19" s="73" t="s">
        <v>80</v>
      </c>
      <c r="G19" s="73" t="s">
        <v>122</v>
      </c>
      <c r="H19" s="74">
        <v>50162</v>
      </c>
      <c r="I19" s="123">
        <v>350</v>
      </c>
      <c r="J19" s="74" t="s">
        <v>114</v>
      </c>
      <c r="K19" s="75">
        <f t="shared" si="0"/>
        <v>25081</v>
      </c>
      <c r="L19" s="143">
        <v>43570</v>
      </c>
      <c r="M19" s="148">
        <f t="shared" si="1"/>
        <v>0.29589041095890412</v>
      </c>
      <c r="N19" s="153">
        <f t="shared" si="2"/>
        <v>7421.2273972602743</v>
      </c>
      <c r="O19" s="156">
        <f t="shared" si="3"/>
        <v>7421.2273972602743</v>
      </c>
      <c r="P19" s="97"/>
      <c r="Q19" s="1" t="s">
        <v>150</v>
      </c>
      <c r="R19" s="97"/>
      <c r="S19" s="112"/>
      <c r="T19" s="113"/>
      <c r="U19" s="114"/>
      <c r="Y19" s="102"/>
    </row>
    <row r="20" spans="2:28" s="2" customFormat="1" ht="16.5" thickTop="1" thickBot="1" x14ac:dyDescent="0.3">
      <c r="B20" s="76">
        <f>SUM(B7:B19)</f>
        <v>7.3110000000000008</v>
      </c>
      <c r="C20" s="77"/>
      <c r="D20" s="77"/>
      <c r="E20" s="77"/>
      <c r="F20" s="77"/>
      <c r="G20" s="77"/>
      <c r="H20" s="77"/>
      <c r="I20" s="77"/>
      <c r="J20" s="78" t="s">
        <v>61</v>
      </c>
      <c r="K20" s="79">
        <f>SUM(K7:K19)</f>
        <v>432148.15399999998</v>
      </c>
      <c r="L20" s="144"/>
      <c r="M20" s="145"/>
      <c r="N20" s="145" t="s">
        <v>61</v>
      </c>
      <c r="O20" s="146">
        <f>SUM(O7:O19)</f>
        <v>204360.68876894977</v>
      </c>
      <c r="P20" s="98"/>
      <c r="R20" s="98"/>
      <c r="S20" s="106"/>
      <c r="T20" s="114"/>
      <c r="U20" s="114"/>
    </row>
    <row r="21" spans="2:28" x14ac:dyDescent="0.25">
      <c r="B21" s="80"/>
      <c r="C21" s="81"/>
      <c r="D21" s="81"/>
      <c r="E21" s="81"/>
      <c r="J21" s="82" t="s">
        <v>33</v>
      </c>
      <c r="K21" s="17">
        <v>10000</v>
      </c>
      <c r="L21" s="17"/>
      <c r="N21" s="82" t="s">
        <v>33</v>
      </c>
      <c r="O21" s="17">
        <v>5000</v>
      </c>
      <c r="S21" s="114"/>
      <c r="T21" s="114"/>
    </row>
    <row r="22" spans="2:28" x14ac:dyDescent="0.25">
      <c r="B22" s="80"/>
      <c r="C22" s="138" t="s">
        <v>126</v>
      </c>
      <c r="D22" s="81"/>
      <c r="E22" s="81"/>
      <c r="J22" s="82" t="s">
        <v>32</v>
      </c>
      <c r="K22" s="17">
        <v>6000</v>
      </c>
      <c r="L22" s="17"/>
      <c r="N22" s="82" t="s">
        <v>32</v>
      </c>
      <c r="O22" s="17"/>
      <c r="Q22" s="160" t="s">
        <v>145</v>
      </c>
      <c r="R22" s="111"/>
      <c r="T22" s="59"/>
    </row>
    <row r="23" spans="2:28" x14ac:dyDescent="0.25">
      <c r="B23" s="80"/>
      <c r="C23" s="138" t="s">
        <v>127</v>
      </c>
      <c r="D23" s="81"/>
      <c r="E23" s="81"/>
      <c r="J23" s="82" t="s">
        <v>62</v>
      </c>
      <c r="K23" s="17">
        <v>1000</v>
      </c>
      <c r="L23" s="17"/>
      <c r="N23" s="82" t="s">
        <v>62</v>
      </c>
      <c r="O23" s="17">
        <v>1000</v>
      </c>
      <c r="Q23" s="171">
        <v>5000</v>
      </c>
      <c r="R23" s="111" t="s">
        <v>144</v>
      </c>
      <c r="T23" s="67"/>
    </row>
    <row r="24" spans="2:28" ht="15.75" thickBot="1" x14ac:dyDescent="0.3">
      <c r="B24" s="80"/>
      <c r="C24" s="81"/>
      <c r="D24" s="81"/>
      <c r="E24" s="81"/>
      <c r="J24" s="83" t="s">
        <v>63</v>
      </c>
      <c r="K24" s="17">
        <v>20000</v>
      </c>
      <c r="L24" s="17"/>
      <c r="N24" s="83" t="s">
        <v>63</v>
      </c>
      <c r="O24" s="17">
        <v>10000</v>
      </c>
      <c r="Q24" s="161">
        <f>SUM(Q22:Q23)</f>
        <v>5000</v>
      </c>
      <c r="R24" s="98"/>
      <c r="T24" s="104"/>
      <c r="U24" s="103"/>
    </row>
    <row r="25" spans="2:28" ht="16.5" thickTop="1" thickBot="1" x14ac:dyDescent="0.3">
      <c r="B25" s="80"/>
      <c r="C25" t="s">
        <v>148</v>
      </c>
      <c r="D25" s="81"/>
      <c r="E25" s="81"/>
      <c r="J25" s="34" t="s">
        <v>64</v>
      </c>
      <c r="K25" s="19">
        <f>SUM(K20:K24)</f>
        <v>469148.15399999998</v>
      </c>
      <c r="L25" s="97"/>
      <c r="N25" s="34" t="s">
        <v>64</v>
      </c>
      <c r="O25" s="19">
        <f>SUM(O20:O24)</f>
        <v>220360.68876894977</v>
      </c>
      <c r="P25" s="97"/>
      <c r="S25" s="27"/>
      <c r="T25" s="105"/>
      <c r="U25" s="103"/>
    </row>
    <row r="26" spans="2:28" ht="15.75" thickTop="1" x14ac:dyDescent="0.25">
      <c r="B26" s="80"/>
      <c r="C26" s="81"/>
      <c r="D26" s="81"/>
      <c r="E26" s="81"/>
      <c r="J26" s="115"/>
      <c r="K26" s="97"/>
      <c r="L26" s="97"/>
      <c r="M26" s="97"/>
      <c r="N26" s="97"/>
      <c r="O26" s="97"/>
      <c r="P26" s="97"/>
      <c r="Q26" s="97"/>
      <c r="R26" s="98"/>
      <c r="S26" s="27"/>
      <c r="T26" s="105"/>
      <c r="U26" s="103"/>
    </row>
    <row r="27" spans="2:28" ht="15.75" thickBot="1" x14ac:dyDescent="0.3">
      <c r="J27" s="100" t="s">
        <v>141</v>
      </c>
      <c r="K27" s="159">
        <f>M40-K25</f>
        <v>851.84600000001956</v>
      </c>
      <c r="N27" s="100" t="s">
        <v>141</v>
      </c>
      <c r="O27" s="159">
        <f>L45-O25</f>
        <v>14439.311231050233</v>
      </c>
      <c r="P27" s="169" t="s">
        <v>142</v>
      </c>
      <c r="R27" s="103"/>
    </row>
    <row r="28" spans="2:28" ht="15.75" thickTop="1" x14ac:dyDescent="0.25">
      <c r="R28" s="103"/>
    </row>
    <row r="29" spans="2:28" x14ac:dyDescent="0.25">
      <c r="D29" s="2"/>
      <c r="E29" s="2"/>
      <c r="F29" s="87"/>
      <c r="G29" s="87"/>
      <c r="H29" s="87"/>
      <c r="I29" s="87"/>
      <c r="J29" s="88"/>
      <c r="K29" s="88"/>
      <c r="L29" s="88"/>
      <c r="M29" s="88"/>
      <c r="S29" s="17"/>
      <c r="AB29" s="103"/>
    </row>
    <row r="30" spans="2:28" x14ac:dyDescent="0.25">
      <c r="D30" s="2"/>
      <c r="E30" s="2"/>
      <c r="F30" s="87"/>
      <c r="G30" s="87"/>
      <c r="H30" s="87"/>
      <c r="I30" s="87"/>
      <c r="J30" s="88"/>
      <c r="K30" s="88"/>
      <c r="L30" s="88"/>
      <c r="M30" s="88"/>
      <c r="S30" s="17"/>
      <c r="AB30" s="103"/>
    </row>
    <row r="31" spans="2:28" x14ac:dyDescent="0.25">
      <c r="D31" s="2"/>
      <c r="E31" s="2"/>
      <c r="F31" s="87"/>
      <c r="G31" s="87"/>
      <c r="H31" s="87"/>
      <c r="I31" s="87"/>
      <c r="J31" s="88"/>
      <c r="K31" s="88"/>
      <c r="L31" s="88"/>
      <c r="M31" s="88"/>
      <c r="S31" s="17"/>
      <c r="AB31" s="103"/>
    </row>
    <row r="32" spans="2:28" x14ac:dyDescent="0.25">
      <c r="H32" s="103"/>
      <c r="I32" s="103"/>
      <c r="K32" s="17"/>
      <c r="AB32" s="103"/>
    </row>
    <row r="33" spans="3:29" x14ac:dyDescent="0.25">
      <c r="D33" s="91"/>
      <c r="E33" s="91"/>
      <c r="F33" s="91"/>
      <c r="G33" s="91"/>
      <c r="H33" s="125"/>
      <c r="I33" s="125"/>
      <c r="P33" s="107" t="s">
        <v>86</v>
      </c>
      <c r="AC33" s="103"/>
    </row>
    <row r="34" spans="3:29" x14ac:dyDescent="0.25">
      <c r="C34" s="94" t="s">
        <v>68</v>
      </c>
      <c r="H34" s="103"/>
      <c r="I34" s="103"/>
      <c r="K34" s="84" t="s">
        <v>96</v>
      </c>
      <c r="L34" s="59"/>
      <c r="P34" s="1" t="s">
        <v>87</v>
      </c>
      <c r="AC34" s="103"/>
    </row>
    <row r="35" spans="3:29" x14ac:dyDescent="0.25">
      <c r="C35" s="91" t="s">
        <v>143</v>
      </c>
      <c r="H35" s="103"/>
      <c r="I35" s="127"/>
      <c r="L35" s="86" t="s">
        <v>65</v>
      </c>
      <c r="M35" s="86" t="s">
        <v>23</v>
      </c>
      <c r="N35" s="86" t="s">
        <v>24</v>
      </c>
      <c r="P35" s="1" t="s">
        <v>88</v>
      </c>
      <c r="AC35" s="103"/>
    </row>
    <row r="36" spans="3:29" x14ac:dyDescent="0.25">
      <c r="C36" s="91" t="s">
        <v>69</v>
      </c>
      <c r="H36" s="103"/>
      <c r="I36" s="127"/>
      <c r="L36" s="59"/>
      <c r="M36" s="59"/>
      <c r="N36" s="59"/>
      <c r="AC36" s="103"/>
    </row>
    <row r="37" spans="3:29" x14ac:dyDescent="0.25">
      <c r="C37" s="91"/>
      <c r="H37" s="103"/>
      <c r="I37" s="127"/>
      <c r="K37" s="89" t="s">
        <v>66</v>
      </c>
      <c r="L37" s="90">
        <v>142000</v>
      </c>
      <c r="M37" s="90">
        <v>470000</v>
      </c>
      <c r="N37" s="90">
        <v>470000</v>
      </c>
      <c r="AC37" s="103"/>
    </row>
    <row r="38" spans="3:29" x14ac:dyDescent="0.25">
      <c r="C38" s="91" t="s">
        <v>134</v>
      </c>
      <c r="H38" s="103"/>
      <c r="I38" s="128"/>
      <c r="K38" s="89" t="s">
        <v>67</v>
      </c>
      <c r="L38" s="90">
        <v>137000</v>
      </c>
      <c r="M38" s="116" t="s">
        <v>94</v>
      </c>
      <c r="N38" s="116" t="s">
        <v>94</v>
      </c>
      <c r="P38" s="2" t="s">
        <v>91</v>
      </c>
      <c r="AC38" s="103"/>
    </row>
    <row r="39" spans="3:29" x14ac:dyDescent="0.25">
      <c r="C39" s="91" t="s">
        <v>70</v>
      </c>
      <c r="H39" s="103"/>
      <c r="I39" s="115"/>
      <c r="K39" s="89" t="s">
        <v>140</v>
      </c>
      <c r="L39" s="90"/>
      <c r="M39" s="90"/>
      <c r="N39" s="90"/>
      <c r="P39" s="2" t="s">
        <v>92</v>
      </c>
      <c r="AC39" s="103"/>
    </row>
    <row r="40" spans="3:29" ht="15.75" thickBot="1" x14ac:dyDescent="0.3">
      <c r="C40" s="91"/>
      <c r="H40" s="103"/>
      <c r="I40" s="103"/>
      <c r="K40" s="92" t="s">
        <v>84</v>
      </c>
      <c r="L40" s="93">
        <f>SUM(L37:L38)</f>
        <v>279000</v>
      </c>
      <c r="M40" s="93">
        <f>SUM(M37:M38)</f>
        <v>470000</v>
      </c>
      <c r="N40" s="93">
        <f>SUM(N37:N38)</f>
        <v>470000</v>
      </c>
      <c r="P40" s="47" t="s">
        <v>95</v>
      </c>
      <c r="AC40" s="103"/>
    </row>
    <row r="41" spans="3:29" x14ac:dyDescent="0.25">
      <c r="C41" s="91" t="s">
        <v>146</v>
      </c>
      <c r="H41" s="103"/>
      <c r="I41" s="103"/>
      <c r="K41" s="59"/>
      <c r="L41" s="59"/>
      <c r="P41" s="47" t="s">
        <v>93</v>
      </c>
      <c r="AC41" s="103"/>
    </row>
    <row r="42" spans="3:29" x14ac:dyDescent="0.25">
      <c r="C42" s="91" t="s">
        <v>125</v>
      </c>
      <c r="K42" s="99" t="s">
        <v>81</v>
      </c>
      <c r="L42" s="90">
        <v>7500</v>
      </c>
      <c r="M42" s="175" t="s">
        <v>155</v>
      </c>
      <c r="AC42" s="103"/>
    </row>
    <row r="43" spans="3:29" x14ac:dyDescent="0.25">
      <c r="C43" s="91" t="s">
        <v>147</v>
      </c>
      <c r="D43" s="97"/>
      <c r="E43" s="103"/>
      <c r="F43" s="162"/>
      <c r="G43" s="163"/>
      <c r="K43" s="89" t="s">
        <v>82</v>
      </c>
      <c r="L43" s="90">
        <v>19200</v>
      </c>
      <c r="P43" s="2" t="s">
        <v>89</v>
      </c>
      <c r="AC43" s="103"/>
    </row>
    <row r="44" spans="3:29" x14ac:dyDescent="0.25">
      <c r="C44" s="157"/>
      <c r="D44" s="97"/>
      <c r="E44" s="103"/>
      <c r="F44" s="162"/>
      <c r="G44" s="163"/>
      <c r="K44" s="89" t="s">
        <v>83</v>
      </c>
      <c r="L44" s="20">
        <v>17500</v>
      </c>
      <c r="P44" t="s">
        <v>139</v>
      </c>
      <c r="AC44" s="103"/>
    </row>
    <row r="45" spans="3:29" ht="15.75" thickBot="1" x14ac:dyDescent="0.3">
      <c r="C45" s="100"/>
      <c r="D45" s="164"/>
      <c r="E45" s="165"/>
      <c r="F45" s="166"/>
      <c r="G45" s="167"/>
      <c r="K45" s="100" t="s">
        <v>85</v>
      </c>
      <c r="L45" s="101">
        <f>L40-SUM(L42:L44)</f>
        <v>234800</v>
      </c>
      <c r="M45" s="101"/>
      <c r="N45" s="101"/>
      <c r="P45" t="s">
        <v>90</v>
      </c>
      <c r="AC45" s="103"/>
    </row>
    <row r="46" spans="3:29" x14ac:dyDescent="0.25">
      <c r="D46" s="97"/>
      <c r="E46" s="103"/>
      <c r="F46" s="103"/>
      <c r="G46" s="168"/>
      <c r="L46" s="17"/>
      <c r="AC46" s="103"/>
    </row>
    <row r="47" spans="3:29" x14ac:dyDescent="0.25">
      <c r="C47" s="158"/>
      <c r="D47" s="103"/>
      <c r="E47" s="103"/>
      <c r="F47" s="103"/>
      <c r="G47" s="103"/>
      <c r="AC47" s="103"/>
    </row>
    <row r="48" spans="3:29" x14ac:dyDescent="0.25">
      <c r="AB48" s="103"/>
    </row>
    <row r="49" spans="3:28" x14ac:dyDescent="0.25">
      <c r="AB49" s="103"/>
    </row>
    <row r="50" spans="3:28" x14ac:dyDescent="0.25">
      <c r="AB50" s="103"/>
    </row>
    <row r="51" spans="3:28" x14ac:dyDescent="0.25">
      <c r="C51" s="91"/>
      <c r="AB51" s="103"/>
    </row>
    <row r="54" spans="3:28" x14ac:dyDescent="0.25">
      <c r="N54" s="85"/>
      <c r="O54" s="85"/>
      <c r="P54" s="85"/>
      <c r="Q54" s="85"/>
    </row>
    <row r="56" spans="3:28" x14ac:dyDescent="0.25">
      <c r="N56" s="88"/>
      <c r="O56" s="88"/>
      <c r="P56" s="88"/>
      <c r="Q56" s="88"/>
    </row>
    <row r="57" spans="3:28" x14ac:dyDescent="0.25">
      <c r="N57" s="103"/>
      <c r="O57" s="103"/>
      <c r="P57" s="103"/>
      <c r="Q57" s="103"/>
    </row>
    <row r="58" spans="3:28" x14ac:dyDescent="0.25">
      <c r="N58" s="126"/>
      <c r="O58" s="126"/>
      <c r="P58" s="126"/>
      <c r="Q58" s="126"/>
    </row>
    <row r="59" spans="3:28" x14ac:dyDescent="0.25">
      <c r="N59" s="103"/>
      <c r="O59" s="103"/>
      <c r="P59" s="103"/>
      <c r="Q59" s="103"/>
    </row>
    <row r="60" spans="3:28" x14ac:dyDescent="0.25">
      <c r="N60" s="97"/>
      <c r="O60" s="97"/>
      <c r="P60" s="97"/>
      <c r="Q60" s="97"/>
    </row>
    <row r="61" spans="3:28" x14ac:dyDescent="0.25">
      <c r="N61" s="97"/>
      <c r="O61" s="97"/>
      <c r="P61" s="97"/>
      <c r="Q61" s="97"/>
    </row>
    <row r="62" spans="3:28" x14ac:dyDescent="0.25">
      <c r="N62" s="97"/>
      <c r="O62" s="97"/>
      <c r="P62" s="97"/>
      <c r="Q62" s="97"/>
    </row>
    <row r="63" spans="3:28" x14ac:dyDescent="0.25">
      <c r="N63" s="97"/>
      <c r="O63" s="97"/>
      <c r="P63" s="97"/>
      <c r="Q63" s="97"/>
    </row>
    <row r="64" spans="3:28" x14ac:dyDescent="0.25">
      <c r="N64" s="129"/>
      <c r="O64" s="129"/>
      <c r="P64" s="129"/>
      <c r="Q64" s="129"/>
    </row>
    <row r="65" spans="14:17" x14ac:dyDescent="0.25">
      <c r="N65" s="103"/>
      <c r="O65" s="103"/>
      <c r="P65" s="103"/>
      <c r="Q65" s="103"/>
    </row>
    <row r="66" spans="14:17" x14ac:dyDescent="0.25">
      <c r="N66" s="103"/>
      <c r="O66" s="103"/>
      <c r="P66" s="103"/>
      <c r="Q66" s="103"/>
    </row>
  </sheetData>
  <mergeCells count="1">
    <mergeCell ref="A2:S2"/>
  </mergeCells>
  <pageMargins left="0.25" right="0.25" top="0.75" bottom="0.75" header="0.3" footer="0.3"/>
  <pageSetup paperSize="8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topLeftCell="A13" workbookViewId="0">
      <selection activeCell="F21" sqref="F21:F23"/>
    </sheetView>
  </sheetViews>
  <sheetFormatPr defaultRowHeight="15" x14ac:dyDescent="0.25"/>
  <cols>
    <col min="1" max="1" width="3.42578125" customWidth="1"/>
    <col min="2" max="2" width="33.42578125" style="4" customWidth="1"/>
    <col min="3" max="3" width="45" customWidth="1"/>
    <col min="4" max="4" width="52.42578125" style="7" customWidth="1"/>
    <col min="5" max="5" width="21.28515625" customWidth="1"/>
    <col min="6" max="6" width="20" style="17" customWidth="1"/>
    <col min="7" max="7" width="9.28515625" customWidth="1"/>
    <col min="8" max="8" width="48.85546875" style="7" customWidth="1"/>
    <col min="9" max="9" width="23.5703125" style="7" customWidth="1"/>
  </cols>
  <sheetData>
    <row r="2" spans="2:11" ht="26.25" x14ac:dyDescent="0.4">
      <c r="B2" s="177" t="s">
        <v>20</v>
      </c>
      <c r="C2" s="177"/>
      <c r="D2" s="177"/>
      <c r="E2" s="177"/>
      <c r="F2" s="177"/>
    </row>
    <row r="3" spans="2:11" ht="30" customHeight="1" x14ac:dyDescent="0.25"/>
    <row r="4" spans="2:11" x14ac:dyDescent="0.25">
      <c r="B4" s="5" t="s">
        <v>8</v>
      </c>
      <c r="C4" s="3" t="s">
        <v>9</v>
      </c>
      <c r="D4" s="8" t="s">
        <v>7</v>
      </c>
      <c r="E4" s="3" t="s">
        <v>1</v>
      </c>
      <c r="F4" s="18" t="s">
        <v>2</v>
      </c>
      <c r="H4" s="32" t="s">
        <v>22</v>
      </c>
      <c r="I4" s="32" t="s">
        <v>98</v>
      </c>
      <c r="J4" s="2" t="s">
        <v>23</v>
      </c>
      <c r="K4" s="2" t="s">
        <v>24</v>
      </c>
    </row>
    <row r="5" spans="2:11" x14ac:dyDescent="0.25">
      <c r="B5" s="11" t="s">
        <v>16</v>
      </c>
      <c r="C5" s="3"/>
      <c r="D5" s="8"/>
      <c r="E5" s="3"/>
      <c r="F5" s="18"/>
    </row>
    <row r="6" spans="2:11" ht="45" x14ac:dyDescent="0.25">
      <c r="B6" s="178" t="s">
        <v>17</v>
      </c>
      <c r="C6" t="s">
        <v>11</v>
      </c>
      <c r="D6" s="7" t="s">
        <v>12</v>
      </c>
      <c r="F6" s="17">
        <v>142000</v>
      </c>
      <c r="H6" s="117" t="s">
        <v>27</v>
      </c>
      <c r="I6" s="118" t="s">
        <v>99</v>
      </c>
      <c r="J6" s="179" t="s">
        <v>101</v>
      </c>
      <c r="K6" s="181" t="s">
        <v>101</v>
      </c>
    </row>
    <row r="7" spans="2:11" ht="45" x14ac:dyDescent="0.25">
      <c r="B7" s="178"/>
      <c r="C7" t="s">
        <v>13</v>
      </c>
      <c r="D7" s="7" t="s">
        <v>21</v>
      </c>
      <c r="F7" s="17">
        <v>137000</v>
      </c>
      <c r="H7" s="119" t="s">
        <v>28</v>
      </c>
      <c r="I7" s="120" t="s">
        <v>100</v>
      </c>
      <c r="J7" s="180"/>
      <c r="K7" s="182"/>
    </row>
    <row r="8" spans="2:11" ht="30" x14ac:dyDescent="0.25">
      <c r="B8" s="150" t="s">
        <v>38</v>
      </c>
      <c r="C8" s="1" t="s">
        <v>39</v>
      </c>
      <c r="D8" s="9" t="s">
        <v>40</v>
      </c>
      <c r="E8" s="1">
        <v>60</v>
      </c>
      <c r="F8" s="21">
        <v>21000</v>
      </c>
    </row>
    <row r="9" spans="2:11" x14ac:dyDescent="0.25">
      <c r="B9" s="10"/>
    </row>
    <row r="10" spans="2:11" s="2" customFormat="1" ht="30.75" thickBot="1" x14ac:dyDescent="0.3">
      <c r="B10" s="34" t="s">
        <v>4</v>
      </c>
      <c r="C10" s="35"/>
      <c r="D10" s="36"/>
      <c r="E10" s="35"/>
      <c r="F10" s="37">
        <f>SUM(F6:F9)</f>
        <v>300000</v>
      </c>
      <c r="H10" s="38" t="s">
        <v>41</v>
      </c>
      <c r="I10" s="38"/>
    </row>
    <row r="11" spans="2:11" ht="15.75" thickTop="1" x14ac:dyDescent="0.25">
      <c r="B11" s="13" t="s">
        <v>15</v>
      </c>
      <c r="C11" s="14"/>
      <c r="D11" s="15"/>
      <c r="E11" s="14"/>
      <c r="F11" s="20"/>
    </row>
    <row r="12" spans="2:11" x14ac:dyDescent="0.25">
      <c r="B12" s="16" t="s">
        <v>19</v>
      </c>
      <c r="C12" s="14"/>
      <c r="D12" s="15"/>
      <c r="E12" s="14"/>
      <c r="F12" s="25"/>
    </row>
    <row r="13" spans="2:11" x14ac:dyDescent="0.25">
      <c r="B13" s="13"/>
      <c r="C13" s="14"/>
      <c r="D13" s="15"/>
      <c r="E13" s="14"/>
      <c r="F13" s="20"/>
    </row>
    <row r="14" spans="2:11" x14ac:dyDescent="0.25">
      <c r="B14" s="16" t="s">
        <v>3</v>
      </c>
      <c r="C14" s="14"/>
      <c r="D14" s="15"/>
      <c r="E14" s="14"/>
      <c r="F14" s="25"/>
    </row>
    <row r="15" spans="2:11" x14ac:dyDescent="0.25">
      <c r="B15" s="16"/>
      <c r="C15" s="14"/>
      <c r="D15" s="15"/>
      <c r="E15" s="14"/>
      <c r="F15" s="20"/>
    </row>
    <row r="16" spans="2:11" x14ac:dyDescent="0.25">
      <c r="B16" s="16" t="s">
        <v>18</v>
      </c>
      <c r="C16" s="14"/>
      <c r="D16" s="15"/>
      <c r="E16" s="14"/>
      <c r="F16" s="25"/>
    </row>
    <row r="17" spans="2:9" x14ac:dyDescent="0.25">
      <c r="B17" s="16"/>
      <c r="C17" s="14"/>
      <c r="D17" s="15"/>
      <c r="E17" s="14"/>
      <c r="F17" s="33"/>
    </row>
    <row r="18" spans="2:9" x14ac:dyDescent="0.25">
      <c r="B18" s="16" t="s">
        <v>33</v>
      </c>
      <c r="C18" s="14" t="s">
        <v>37</v>
      </c>
      <c r="D18" s="15" t="s">
        <v>34</v>
      </c>
      <c r="E18" s="14"/>
      <c r="F18" s="33">
        <v>1770.9</v>
      </c>
    </row>
    <row r="19" spans="2:9" x14ac:dyDescent="0.25">
      <c r="B19" s="16"/>
      <c r="C19" s="14" t="s">
        <v>36</v>
      </c>
      <c r="D19" s="15" t="s">
        <v>35</v>
      </c>
      <c r="E19" s="14"/>
      <c r="F19" s="33">
        <v>617.20000000000005</v>
      </c>
    </row>
    <row r="20" spans="2:9" x14ac:dyDescent="0.25">
      <c r="B20" s="16"/>
      <c r="C20" s="14"/>
      <c r="D20" s="15"/>
      <c r="E20" s="14"/>
      <c r="F20" s="20"/>
    </row>
    <row r="21" spans="2:9" x14ac:dyDescent="0.25">
      <c r="B21" s="16" t="s">
        <v>0</v>
      </c>
      <c r="C21" s="14" t="s">
        <v>5</v>
      </c>
      <c r="D21" s="15"/>
      <c r="E21" s="14"/>
      <c r="F21" s="20">
        <v>7500</v>
      </c>
    </row>
    <row r="22" spans="2:9" x14ac:dyDescent="0.25">
      <c r="B22" s="16"/>
      <c r="C22" s="14" t="s">
        <v>6</v>
      </c>
      <c r="D22" s="15"/>
      <c r="E22" s="14"/>
      <c r="F22" s="20">
        <v>11700</v>
      </c>
    </row>
    <row r="23" spans="2:9" x14ac:dyDescent="0.25">
      <c r="B23" s="16"/>
      <c r="C23" s="14" t="s">
        <v>30</v>
      </c>
      <c r="D23" s="15"/>
      <c r="E23" s="14">
        <v>50</v>
      </c>
      <c r="F23" s="20">
        <v>17500</v>
      </c>
    </row>
    <row r="24" spans="2:9" x14ac:dyDescent="0.25">
      <c r="B24" s="16"/>
      <c r="C24" s="14"/>
      <c r="D24" s="15"/>
      <c r="E24" s="14"/>
      <c r="F24" s="20"/>
    </row>
    <row r="25" spans="2:9" ht="15.75" thickBot="1" x14ac:dyDescent="0.3">
      <c r="B25" s="12" t="s">
        <v>14</v>
      </c>
      <c r="C25" s="22"/>
      <c r="D25" s="23"/>
      <c r="E25" s="22"/>
      <c r="F25" s="24">
        <f>SUM(F11:F24)</f>
        <v>39088.1</v>
      </c>
    </row>
    <row r="26" spans="2:9" s="2" customFormat="1" ht="16.5" thickTop="1" thickBot="1" x14ac:dyDescent="0.3">
      <c r="B26" s="39" t="s">
        <v>25</v>
      </c>
      <c r="C26" s="40"/>
      <c r="D26" s="41"/>
      <c r="E26" s="40"/>
      <c r="F26" s="42">
        <f>F10-F25</f>
        <v>260911.9</v>
      </c>
      <c r="H26" s="43"/>
      <c r="I26" s="43"/>
    </row>
    <row r="27" spans="2:9" ht="15.75" thickTop="1" x14ac:dyDescent="0.25"/>
    <row r="28" spans="2:9" x14ac:dyDescent="0.25">
      <c r="B28" s="30" t="s">
        <v>10</v>
      </c>
      <c r="D28" s="28"/>
      <c r="E28" s="27"/>
      <c r="F28" s="29"/>
    </row>
    <row r="29" spans="2:9" ht="30" x14ac:dyDescent="0.25">
      <c r="B29" s="26"/>
      <c r="C29" s="1" t="s">
        <v>29</v>
      </c>
      <c r="D29" s="9" t="s">
        <v>105</v>
      </c>
      <c r="E29" s="27"/>
      <c r="F29" s="29"/>
    </row>
    <row r="30" spans="2:9" ht="75" x14ac:dyDescent="0.25">
      <c r="B30" s="26"/>
      <c r="C30" s="27" t="s">
        <v>31</v>
      </c>
      <c r="D30" s="28" t="s">
        <v>106</v>
      </c>
      <c r="E30" s="27">
        <v>78</v>
      </c>
      <c r="F30" s="29">
        <f>E30*350</f>
        <v>27300</v>
      </c>
    </row>
    <row r="32" spans="2:9" s="47" customFormat="1" ht="15.75" thickBot="1" x14ac:dyDescent="0.3">
      <c r="B32" s="31" t="s">
        <v>26</v>
      </c>
      <c r="C32" s="44"/>
      <c r="D32" s="45"/>
      <c r="E32" s="44"/>
      <c r="F32" s="46">
        <f>F26-SUM(F27:F31)</f>
        <v>233611.9</v>
      </c>
      <c r="H32" s="48"/>
      <c r="I32" s="48"/>
    </row>
    <row r="33" spans="2:6" ht="15.75" thickTop="1" x14ac:dyDescent="0.25"/>
    <row r="34" spans="2:6" ht="45" x14ac:dyDescent="0.25">
      <c r="B34" s="6" t="s">
        <v>102</v>
      </c>
      <c r="C34" s="1" t="s">
        <v>103</v>
      </c>
      <c r="D34" s="9" t="s">
        <v>104</v>
      </c>
      <c r="E34" s="1"/>
      <c r="F34" s="21">
        <v>30000</v>
      </c>
    </row>
    <row r="35" spans="2:6" x14ac:dyDescent="0.25">
      <c r="B35" s="6"/>
      <c r="C35" s="1"/>
      <c r="D35" s="9"/>
      <c r="E35" s="1"/>
      <c r="F35" s="21"/>
    </row>
    <row r="36" spans="2:6" x14ac:dyDescent="0.25">
      <c r="B36" s="6"/>
      <c r="C36" s="1"/>
      <c r="D36" s="9"/>
      <c r="E36" s="1"/>
      <c r="F36" s="21"/>
    </row>
  </sheetData>
  <mergeCells count="4">
    <mergeCell ref="B2:F2"/>
    <mergeCell ref="B6:B7"/>
    <mergeCell ref="J6:J7"/>
    <mergeCell ref="K6:K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 Team estimates</vt:lpstr>
      <vt:lpstr>BI Income &amp; Expenses</vt:lpstr>
      <vt:lpstr>'BI Team estimates'!Print_Area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Daniel</dc:creator>
  <cp:lastModifiedBy>CROPLEY Geoff</cp:lastModifiedBy>
  <cp:lastPrinted>2019-05-08T16:58:47Z</cp:lastPrinted>
  <dcterms:created xsi:type="dcterms:W3CDTF">2019-01-09T16:54:46Z</dcterms:created>
  <dcterms:modified xsi:type="dcterms:W3CDTF">2019-05-17T08:34:41Z</dcterms:modified>
</cp:coreProperties>
</file>